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secoza.sharepoint.com/sites/BondsCCP/Shared Documents/General/Risk Management - Market Consultations/Variation margin methodology/"/>
    </mc:Choice>
  </mc:AlternateContent>
  <xr:revisionPtr revIDLastSave="82" documentId="13_ncr:1_{13884F9A-2FF6-49EC-A4F9-12BEFA726D3C}" xr6:coauthVersionLast="47" xr6:coauthVersionMax="47" xr10:uidLastSave="{74AE50FC-5C8A-4282-BF15-B26EF09BC79D}"/>
  <bookViews>
    <workbookView xWindow="-110" yWindow="-110" windowWidth="19420" windowHeight="10300" xr2:uid="{8A9BF371-67EA-4FE7-A93C-91882B417BC3}"/>
  </bookViews>
  <sheets>
    <sheet name="Option A - contingent VM" sheetId="2" r:id="rId1"/>
    <sheet name="Option B - realised VM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3" l="1"/>
  <c r="J17" i="3"/>
  <c r="K16" i="2"/>
  <c r="K17" i="2" s="1"/>
  <c r="L17" i="2" s="1"/>
  <c r="J16" i="2"/>
  <c r="L16" i="2"/>
  <c r="J17" i="2"/>
  <c r="I15" i="2"/>
  <c r="J14" i="2"/>
  <c r="N29" i="2"/>
  <c r="K17" i="3"/>
  <c r="M16" i="2"/>
  <c r="J30" i="3"/>
  <c r="J14" i="3"/>
  <c r="N12" i="3"/>
  <c r="J33" i="3"/>
  <c r="N16" i="3"/>
  <c r="K16" i="3"/>
  <c r="M16" i="3"/>
  <c r="L16" i="3"/>
  <c r="I16" i="3"/>
  <c r="I15" i="3"/>
  <c r="H9" i="3"/>
  <c r="C6" i="3"/>
  <c r="K15" i="3"/>
  <c r="K13" i="2"/>
  <c r="L13" i="2"/>
  <c r="M13" i="2"/>
  <c r="J15" i="3"/>
  <c r="L15" i="3"/>
  <c r="M15" i="3"/>
  <c r="N15" i="3"/>
  <c r="N28" i="2"/>
  <c r="J27" i="2"/>
  <c r="K27" i="2"/>
  <c r="L27" i="2"/>
  <c r="M27" i="2"/>
  <c r="N27" i="2"/>
  <c r="N16" i="2"/>
  <c r="N15" i="2"/>
  <c r="M15" i="2"/>
  <c r="L15" i="2"/>
  <c r="K15" i="2"/>
  <c r="J15" i="2"/>
  <c r="C9" i="3"/>
  <c r="N24" i="3" s="1"/>
  <c r="M33" i="3"/>
  <c r="L33" i="3"/>
  <c r="K33" i="3"/>
  <c r="N28" i="3"/>
  <c r="N27" i="3"/>
  <c r="M27" i="3"/>
  <c r="L27" i="3"/>
  <c r="K27" i="3"/>
  <c r="J27" i="3"/>
  <c r="N26" i="3"/>
  <c r="M25" i="3"/>
  <c r="L25" i="3"/>
  <c r="K25" i="3"/>
  <c r="J24" i="3"/>
  <c r="N23" i="3"/>
  <c r="N14" i="3"/>
  <c r="M13" i="3"/>
  <c r="L13" i="3"/>
  <c r="K13" i="3"/>
  <c r="N11" i="3"/>
  <c r="M10" i="3"/>
  <c r="L22" i="3"/>
  <c r="L23" i="3" s="1"/>
  <c r="K33" i="2"/>
  <c r="L33" i="2"/>
  <c r="M33" i="2"/>
  <c r="N26" i="2"/>
  <c r="N14" i="2"/>
  <c r="N33" i="2" s="1"/>
  <c r="J24" i="2"/>
  <c r="M25" i="2"/>
  <c r="L25" i="2"/>
  <c r="K25" i="2"/>
  <c r="C6" i="2"/>
  <c r="K22" i="2" s="1"/>
  <c r="K28" i="2" s="1"/>
  <c r="C9" i="2"/>
  <c r="N24" i="2" s="1"/>
  <c r="M17" i="2" l="1"/>
  <c r="N17" i="2" s="1"/>
  <c r="J18" i="2"/>
  <c r="J34" i="2"/>
  <c r="N17" i="3"/>
  <c r="N29" i="3"/>
  <c r="K29" i="2"/>
  <c r="N12" i="2"/>
  <c r="K22" i="3"/>
  <c r="K28" i="3" s="1"/>
  <c r="K29" i="3" s="1"/>
  <c r="H15" i="3"/>
  <c r="M22" i="3"/>
  <c r="M28" i="3" s="1"/>
  <c r="M29" i="3" s="1"/>
  <c r="I9" i="3"/>
  <c r="H21" i="3"/>
  <c r="H27" i="3" s="1"/>
  <c r="K10" i="3"/>
  <c r="I21" i="3"/>
  <c r="I27" i="3" s="1"/>
  <c r="N33" i="3"/>
  <c r="I10" i="3"/>
  <c r="K11" i="3"/>
  <c r="I22" i="3"/>
  <c r="I28" i="3" s="1"/>
  <c r="J10" i="3"/>
  <c r="J22" i="3"/>
  <c r="J23" i="3" s="1"/>
  <c r="J26" i="3" s="1"/>
  <c r="L28" i="3"/>
  <c r="L29" i="3" s="1"/>
  <c r="M17" i="3"/>
  <c r="M11" i="3"/>
  <c r="H10" i="3"/>
  <c r="H16" i="3" s="1"/>
  <c r="L10" i="3"/>
  <c r="H22" i="3"/>
  <c r="H28" i="3" s="1"/>
  <c r="I21" i="2"/>
  <c r="I27" i="2" s="1"/>
  <c r="J22" i="2"/>
  <c r="J28" i="2" s="1"/>
  <c r="J29" i="2" s="1"/>
  <c r="M22" i="2"/>
  <c r="M28" i="2" s="1"/>
  <c r="M29" i="2" s="1"/>
  <c r="I22" i="2"/>
  <c r="I28" i="2" s="1"/>
  <c r="H22" i="2"/>
  <c r="H28" i="2" s="1"/>
  <c r="L22" i="2"/>
  <c r="L28" i="2" s="1"/>
  <c r="L29" i="2" s="1"/>
  <c r="H21" i="2"/>
  <c r="H27" i="2" s="1"/>
  <c r="K23" i="2"/>
  <c r="N23" i="2"/>
  <c r="L10" i="2"/>
  <c r="H10" i="2"/>
  <c r="H16" i="2" s="1"/>
  <c r="K10" i="2"/>
  <c r="J10" i="2"/>
  <c r="I10" i="2"/>
  <c r="I16" i="2" s="1"/>
  <c r="N11" i="2"/>
  <c r="H9" i="2"/>
  <c r="H15" i="2" s="1"/>
  <c r="I9" i="2"/>
  <c r="M10" i="2"/>
  <c r="M23" i="3" l="1"/>
  <c r="H29" i="3"/>
  <c r="K23" i="3"/>
  <c r="H17" i="3"/>
  <c r="H34" i="3" s="1"/>
  <c r="H18" i="3"/>
  <c r="I17" i="2"/>
  <c r="N34" i="2" s="1"/>
  <c r="I23" i="2"/>
  <c r="I26" i="2" s="1"/>
  <c r="J23" i="2"/>
  <c r="J26" i="2" s="1"/>
  <c r="H17" i="2"/>
  <c r="H18" i="2"/>
  <c r="H23" i="2"/>
  <c r="H26" i="2" s="1"/>
  <c r="I29" i="2"/>
  <c r="H30" i="2"/>
  <c r="H29" i="2"/>
  <c r="I29" i="3"/>
  <c r="I30" i="3" s="1"/>
  <c r="J28" i="3"/>
  <c r="J29" i="3" s="1"/>
  <c r="I17" i="3"/>
  <c r="I34" i="3" s="1"/>
  <c r="I11" i="3"/>
  <c r="I14" i="3" s="1"/>
  <c r="I23" i="3"/>
  <c r="I26" i="3" s="1"/>
  <c r="H11" i="3"/>
  <c r="H14" i="3" s="1"/>
  <c r="J11" i="3"/>
  <c r="H30" i="3"/>
  <c r="L17" i="3"/>
  <c r="L11" i="3"/>
  <c r="H23" i="3"/>
  <c r="H26" i="3" s="1"/>
  <c r="M23" i="2"/>
  <c r="L23" i="2"/>
  <c r="M11" i="2"/>
  <c r="J11" i="2"/>
  <c r="K11" i="2"/>
  <c r="L11" i="2"/>
  <c r="H11" i="2"/>
  <c r="H14" i="2" s="1"/>
  <c r="I11" i="2"/>
  <c r="H33" i="2" l="1"/>
  <c r="I33" i="3"/>
  <c r="H33" i="3"/>
  <c r="H35" i="3" s="1"/>
  <c r="H34" i="2"/>
  <c r="I18" i="3"/>
  <c r="K30" i="3"/>
  <c r="I35" i="3"/>
  <c r="K34" i="3"/>
  <c r="K35" i="3" s="1"/>
  <c r="J33" i="2"/>
  <c r="I14" i="2"/>
  <c r="I33" i="2" s="1"/>
  <c r="J34" i="3" l="1"/>
  <c r="J35" i="3" s="1"/>
  <c r="J18" i="3"/>
  <c r="K18" i="3" s="1"/>
  <c r="K18" i="2"/>
  <c r="L18" i="2" s="1"/>
  <c r="M18" i="2" s="1"/>
  <c r="N18" i="2" s="1"/>
  <c r="I18" i="2"/>
  <c r="L34" i="3" l="1"/>
  <c r="L35" i="3" s="1"/>
  <c r="L18" i="3"/>
  <c r="L30" i="3"/>
  <c r="H35" i="2"/>
  <c r="M34" i="3" l="1"/>
  <c r="M35" i="3" s="1"/>
  <c r="N34" i="3"/>
  <c r="N35" i="3" s="1"/>
  <c r="M30" i="3"/>
  <c r="N30" i="3" s="1"/>
  <c r="M18" i="3"/>
  <c r="N18" i="3" s="1"/>
  <c r="I30" i="2"/>
  <c r="I34" i="2"/>
  <c r="I35" i="2" s="1"/>
  <c r="J30" i="2" l="1"/>
  <c r="J35" i="2"/>
  <c r="K30" i="2" l="1"/>
  <c r="K34" i="2"/>
  <c r="K35" i="2" s="1"/>
  <c r="L30" i="2" l="1"/>
  <c r="L34" i="2"/>
  <c r="L35" i="2" s="1"/>
  <c r="N35" i="2"/>
  <c r="M30" i="2" l="1"/>
  <c r="N30" i="2" s="1"/>
  <c r="M34" i="2"/>
  <c r="M3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tc={0A1B68A8-C15D-4D1C-94A0-99EBA1F8B91B}</author>
    <author>tc={63421714-05CD-49D3-9C66-8E6BD1F252CA}</author>
    <author>tc={0A4149A0-62A9-43C8-BC40-20CCB16E5146}</author>
  </authors>
  <commentList>
    <comment ref="H14" authorId="0" shapeId="0" xr:uid="{0A1B68A8-C15D-4D1C-94A0-99EBA1F8B91B}">
      <text>
        <t>[Threaded comment]
Your version of Excel allows you to read this threaded comment; however, any edits to it will get removed if the file is opened in a newer version of Excel. Learn more: https://go.microsoft.com/fwlink/?linkid=870924
Comment:
    Although not 100% technically accurate, for simplicity we've assumed 0 initial margin cash flows for the repo on T+0 and T+1. The near and far legs are both unsettled on T+0 and T+1 and offset each other. From T+2 the near leg settles and the far leg remains unsettled. In reality, we do calculate an initial margin requirement even on T+0 and T+1 while both near and far legs are unsettled which does recognise the offset between the two legs.</t>
      </text>
    </comment>
    <comment ref="H26" authorId="1" shapeId="0" xr:uid="{63421714-05CD-49D3-9C66-8E6BD1F252CA}">
      <text>
        <t>[Threaded comment]
Your version of Excel allows you to read this threaded comment; however, any edits to it will get removed if the file is opened in a newer version of Excel. Learn more: https://go.microsoft.com/fwlink/?linkid=870924
Comment:
    Although not 100% technically accurate, for simplicity we've assumed 0 initial margin cash flows for the repo on T+0 and T+1. The near and far legs are both unsettled on T+0 and T+1 and offset each other. From T+2 the near leg settles and the far leg remains unsettled. In reality, we do calculate an initial margin requirement even on T+0 and T+1 while both near and far legs are unsettled which does recognise the offset between the two legs.</t>
      </text>
    </comment>
    <comment ref="H33" authorId="2" shapeId="0" xr:uid="{0A4149A0-62A9-43C8-BC40-20CCB16E5146}">
      <text>
        <t>[Threaded comment]
Your version of Excel allows you to read this threaded comment; however, any edits to it will get removed if the file is opened in a newer version of Excel. Learn more: https://go.microsoft.com/fwlink/?linkid=870924
Comment:
    Although not 100% technically accurate, for simplicity we've assumed 0 initial margin cash flows for the repo on T+0 and T+1. The near and far legs are both unsettled on T+0 and T+1 and offset each other. From T+2 the near leg settles and the far leg remains unsettled. In reality, we do calculate an initial margin requirement even on T+0 and T+1 while both near and far legs are unsettled which does recognise the offset between the two legs.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tc={C87B6960-487C-43E3-A084-358AD89DBAB4}</author>
    <author>tc={4FDF0910-B2D3-48D7-A0A3-03F4DBD2A64B}</author>
    <author>tc={08C41EDC-3C36-43BF-B4D3-ADEEA77EE8EB}</author>
  </authors>
  <commentList>
    <comment ref="H14" authorId="0" shapeId="0" xr:uid="{C87B6960-487C-43E3-A084-358AD89DBAB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Although not 100% technically accurate, for simplicity we've assumed 0 initial margin cash flows for the repo on T+0 and T+1. The near and far legs are both unsettled on T+0 and T+1 and offset each other. From T+2 the near leg settles and the far leg remains unsettled. In reality, we do calculate an initial margin requirement even on T+0 and T+1 while both near and far legs are unsettled which does recognise the offset between the two legs.
</t>
      </text>
    </comment>
    <comment ref="H26" authorId="1" shapeId="0" xr:uid="{4FDF0910-B2D3-48D7-A0A3-03F4DBD2A64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Although not 100% technically accurate, for simplicity we've assumed 0 initial margin cash flows for the repo on T+0 and T+1. The near and far legs are both unsettled on T+0 and T+1 and offset each other. From T+2 the near leg settles and the far leg remains unsettled. In reality, we do calculate an initial margin requirement even on T+0 and T+1 while both near and far legs are unsettled which does recognise the offset between the two legs.
</t>
      </text>
    </comment>
    <comment ref="H33" authorId="2" shapeId="0" xr:uid="{08C41EDC-3C36-43BF-B4D3-ADEEA77EE8E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Although not 100% technically accurate, for simplicity we've assumed 0 initial margin cash flows for the repo on T+0 and T+1. The near and far legs are both unsettled on T+0 and T+1 and offset each other. From T+2 the near leg settles and the far leg remains unsettled. In reality, we do calculate an initial margin requirement even on T+0 and T+1 while both near and far legs are unsettled which does recognise the offset between the two legs.
</t>
      </text>
    </comment>
  </commentList>
</comments>
</file>

<file path=xl/sharedStrings.xml><?xml version="1.0" encoding="utf-8"?>
<sst xmlns="http://schemas.openxmlformats.org/spreadsheetml/2006/main" count="120" uniqueCount="52">
  <si>
    <t>Day 1</t>
  </si>
  <si>
    <t>Day 2</t>
  </si>
  <si>
    <t>Day 3</t>
  </si>
  <si>
    <t>Day 4</t>
  </si>
  <si>
    <t>Day 5</t>
  </si>
  <si>
    <t>Day 6</t>
  </si>
  <si>
    <t>Day 7</t>
  </si>
  <si>
    <t>IM</t>
  </si>
  <si>
    <t>Cpty A</t>
  </si>
  <si>
    <t>Cpty B</t>
  </si>
  <si>
    <t>CCP</t>
  </si>
  <si>
    <t>Qty</t>
  </si>
  <si>
    <t>Day 0</t>
  </si>
  <si>
    <t>Near leg</t>
  </si>
  <si>
    <t>Bond trade price</t>
  </si>
  <si>
    <t>Far leg</t>
  </si>
  <si>
    <t>Repo rate</t>
  </si>
  <si>
    <t>Nominal value</t>
  </si>
  <si>
    <t>Near leg position</t>
  </si>
  <si>
    <t>Far leg postion</t>
  </si>
  <si>
    <t>Net position</t>
  </si>
  <si>
    <t>IMR</t>
  </si>
  <si>
    <t>Bond closing price</t>
  </si>
  <si>
    <t>7 days</t>
  </si>
  <si>
    <t>Settlement</t>
  </si>
  <si>
    <t>3 days</t>
  </si>
  <si>
    <t>T+0</t>
  </si>
  <si>
    <t>T+1</t>
  </si>
  <si>
    <t>T+2</t>
  </si>
  <si>
    <t>T+3</t>
  </si>
  <si>
    <t>T+4</t>
  </si>
  <si>
    <t>T+5</t>
  </si>
  <si>
    <t>T+6</t>
  </si>
  <si>
    <t>Option A - contingent variation margin (theoretical credit variation margin)</t>
  </si>
  <si>
    <t>Option B - realised variation margin (profit and loss / exchanged VM)</t>
  </si>
  <si>
    <t>Repo tenor (days)</t>
  </si>
  <si>
    <t>Repo seller (sells bond at near leg and buys back at far leg)</t>
  </si>
  <si>
    <t xml:space="preserve">Repo near leg settlement </t>
  </si>
  <si>
    <t xml:space="preserve">Repo far leg settlement </t>
  </si>
  <si>
    <t>Cash position</t>
  </si>
  <si>
    <t>Scrip position</t>
  </si>
  <si>
    <t>cVM (Near)</t>
  </si>
  <si>
    <t>cVM(Far)</t>
  </si>
  <si>
    <t>Net cVM margin cashflow</t>
  </si>
  <si>
    <t>Cash balance</t>
  </si>
  <si>
    <t>cVM cashflow</t>
  </si>
  <si>
    <t>Total margin cashflow</t>
  </si>
  <si>
    <t>IM cashflow</t>
  </si>
  <si>
    <t>rVM (Near)</t>
  </si>
  <si>
    <t>rVM(Far)</t>
  </si>
  <si>
    <t>Net rVM margin cashflow</t>
  </si>
  <si>
    <t>rVM cashflow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</si>
</sst>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R&quot;#,##0"/>
    <numFmt numFmtId="165" formatCode="[$R-1C09]#,##0;\-[$R-1C09]#,##0"/>
    <numFmt numFmtId="166" formatCode="[$R-1C09]#,##0.00"/>
    <numFmt numFmtId="167" formatCode="[$R-1C09]#,##0.00;\-[$R-1C09]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5" borderId="0" xfId="0" applyFill="1"/>
    <xf numFmtId="0" fontId="0" fillId="5" borderId="0" xfId="0" applyFill="1" applyAlignment="1">
      <alignment horizontal="center" vertical="center"/>
    </xf>
    <xf numFmtId="0" fontId="0" fillId="5" borderId="4" xfId="0" applyFill="1" applyBorder="1"/>
    <xf numFmtId="0" fontId="0" fillId="5" borderId="3" xfId="0" applyFill="1" applyBorder="1"/>
    <xf numFmtId="0" fontId="2" fillId="5" borderId="0" xfId="0" applyFont="1" applyFill="1"/>
    <xf numFmtId="0" fontId="0" fillId="6" borderId="0" xfId="0" applyFill="1"/>
    <xf numFmtId="164" fontId="0" fillId="5" borderId="6" xfId="0" applyNumberForma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164" fontId="0" fillId="3" borderId="6" xfId="1" applyNumberFormat="1" applyFon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left" vertical="center" wrapText="1"/>
    </xf>
    <xf numFmtId="0" fontId="2" fillId="6" borderId="6" xfId="0" applyFont="1" applyFill="1" applyBorder="1"/>
    <xf numFmtId="164" fontId="0" fillId="9" borderId="6" xfId="0" applyNumberFormat="1" applyFill="1" applyBorder="1" applyAlignment="1">
      <alignment horizontal="center"/>
    </xf>
    <xf numFmtId="0" fontId="0" fillId="5" borderId="0" xfId="0" applyFill="1" applyAlignment="1">
      <alignment horizontal="right"/>
    </xf>
    <xf numFmtId="14" fontId="0" fillId="5" borderId="5" xfId="0" applyNumberFormat="1" applyFill="1" applyBorder="1" applyAlignment="1">
      <alignment horizontal="right"/>
    </xf>
    <xf numFmtId="14" fontId="0" fillId="5" borderId="2" xfId="0" applyNumberFormat="1" applyFill="1" applyBorder="1" applyAlignment="1">
      <alignment horizontal="right"/>
    </xf>
    <xf numFmtId="9" fontId="0" fillId="5" borderId="0" xfId="0" applyNumberFormat="1" applyFill="1" applyAlignment="1">
      <alignment horizontal="right"/>
    </xf>
    <xf numFmtId="0" fontId="0" fillId="10" borderId="6" xfId="0" applyFill="1" applyBorder="1" applyAlignment="1">
      <alignment horizontal="left" vertical="center" wrapText="1"/>
    </xf>
    <xf numFmtId="0" fontId="0" fillId="10" borderId="6" xfId="0" applyFill="1" applyBorder="1" applyAlignment="1">
      <alignment horizontal="center"/>
    </xf>
    <xf numFmtId="0" fontId="0" fillId="10" borderId="6" xfId="0" applyFill="1" applyBorder="1" applyAlignment="1">
      <alignment horizontal="center" vertical="center"/>
    </xf>
    <xf numFmtId="164" fontId="0" fillId="10" borderId="6" xfId="1" applyNumberFormat="1" applyFont="1" applyFill="1" applyBorder="1" applyAlignment="1">
      <alignment horizontal="center"/>
    </xf>
    <xf numFmtId="164" fontId="0" fillId="10" borderId="6" xfId="0" applyNumberFormat="1" applyFill="1" applyBorder="1" applyAlignment="1">
      <alignment horizontal="center"/>
    </xf>
    <xf numFmtId="0" fontId="4" fillId="12" borderId="6" xfId="0" applyFont="1" applyFill="1" applyBorder="1" applyAlignment="1">
      <alignment horizontal="center" vertical="center"/>
    </xf>
    <xf numFmtId="0" fontId="0" fillId="11" borderId="6" xfId="0" applyFill="1" applyBorder="1"/>
    <xf numFmtId="0" fontId="0" fillId="11" borderId="6" xfId="0" applyFill="1" applyBorder="1" applyAlignment="1">
      <alignment horizontal="center" vertical="center"/>
    </xf>
    <xf numFmtId="0" fontId="2" fillId="8" borderId="6" xfId="0" applyFont="1" applyFill="1" applyBorder="1" applyAlignment="1">
      <alignment horizontal="left" vertical="center"/>
    </xf>
    <xf numFmtId="0" fontId="0" fillId="8" borderId="6" xfId="0" applyFill="1" applyBorder="1" applyAlignment="1">
      <alignment horizontal="left"/>
    </xf>
    <xf numFmtId="0" fontId="0" fillId="8" borderId="6" xfId="0" applyFill="1" applyBorder="1" applyAlignment="1">
      <alignment horizontal="left" vertical="center"/>
    </xf>
    <xf numFmtId="0" fontId="2" fillId="11" borderId="6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/>
    </xf>
    <xf numFmtId="0" fontId="2" fillId="10" borderId="6" xfId="0" applyFont="1" applyFill="1" applyBorder="1" applyAlignment="1">
      <alignment horizontal="left" vertical="center" wrapText="1"/>
    </xf>
    <xf numFmtId="0" fontId="2" fillId="10" borderId="6" xfId="0" applyFont="1" applyFill="1" applyBorder="1" applyAlignment="1">
      <alignment horizontal="center"/>
    </xf>
    <xf numFmtId="0" fontId="2" fillId="10" borderId="6" xfId="0" applyFont="1" applyFill="1" applyBorder="1" applyAlignment="1">
      <alignment horizontal="center" vertical="center"/>
    </xf>
    <xf numFmtId="164" fontId="2" fillId="10" borderId="6" xfId="0" applyNumberFormat="1" applyFont="1" applyFill="1" applyBorder="1" applyAlignment="1">
      <alignment horizontal="center"/>
    </xf>
    <xf numFmtId="0" fontId="2" fillId="2" borderId="6" xfId="0" applyFont="1" applyFill="1" applyBorder="1"/>
    <xf numFmtId="0" fontId="0" fillId="2" borderId="6" xfId="0" applyFill="1" applyBorder="1"/>
    <xf numFmtId="0" fontId="0" fillId="2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left" vertical="center" wrapText="1"/>
    </xf>
    <xf numFmtId="0" fontId="0" fillId="4" borderId="6" xfId="0" applyFill="1" applyBorder="1"/>
    <xf numFmtId="0" fontId="0" fillId="4" borderId="6" xfId="0" applyFill="1" applyBorder="1" applyAlignment="1">
      <alignment horizontal="center" vertical="center"/>
    </xf>
    <xf numFmtId="164" fontId="0" fillId="4" borderId="6" xfId="0" applyNumberFormat="1" applyFill="1" applyBorder="1"/>
    <xf numFmtId="0" fontId="5" fillId="6" borderId="0" xfId="0" applyFont="1" applyFill="1"/>
    <xf numFmtId="0" fontId="0" fillId="6" borderId="0" xfId="0" applyFill="1" applyAlignment="1">
      <alignment horizontal="right"/>
    </xf>
    <xf numFmtId="164" fontId="7" fillId="3" borderId="6" xfId="0" applyNumberFormat="1" applyFont="1" applyFill="1" applyBorder="1" applyAlignment="1">
      <alignment horizontal="center"/>
    </xf>
    <xf numFmtId="164" fontId="7" fillId="10" borderId="6" xfId="0" applyNumberFormat="1" applyFont="1" applyFill="1" applyBorder="1" applyAlignment="1">
      <alignment horizontal="center"/>
    </xf>
    <xf numFmtId="0" fontId="6" fillId="5" borderId="0" xfId="0" applyFont="1" applyFill="1"/>
    <xf numFmtId="0" fontId="6" fillId="5" borderId="0" xfId="0" applyFont="1" applyFill="1" applyAlignment="1">
      <alignment wrapText="1"/>
    </xf>
    <xf numFmtId="164" fontId="0" fillId="13" borderId="6" xfId="0" applyNumberFormat="1" applyFill="1" applyBorder="1" applyAlignment="1">
      <alignment horizontal="center"/>
    </xf>
    <xf numFmtId="164" fontId="0" fillId="14" borderId="6" xfId="0" applyNumberFormat="1" applyFill="1" applyBorder="1" applyAlignment="1">
      <alignment horizontal="center"/>
    </xf>
    <xf numFmtId="0" fontId="0" fillId="15" borderId="0" xfId="0" applyFill="1" applyAlignment="1">
      <alignment wrapText="1"/>
    </xf>
    <xf numFmtId="0" fontId="0" fillId="5" borderId="7" xfId="0" applyFill="1" applyBorder="1" applyAlignment="1">
      <alignment wrapText="1"/>
    </xf>
    <xf numFmtId="0" fontId="0" fillId="5" borderId="8" xfId="0" applyFill="1" applyBorder="1" applyAlignment="1">
      <alignment horizontal="right" vertical="center"/>
    </xf>
    <xf numFmtId="165" fontId="0" fillId="5" borderId="0" xfId="1" applyNumberFormat="1" applyFont="1" applyFill="1" applyAlignment="1">
      <alignment horizontal="right"/>
    </xf>
    <xf numFmtId="166" fontId="0" fillId="5" borderId="5" xfId="0" applyNumberFormat="1" applyFill="1" applyBorder="1" applyAlignment="1">
      <alignment horizontal="right"/>
    </xf>
    <xf numFmtId="166" fontId="0" fillId="5" borderId="2" xfId="0" applyNumberFormat="1" applyFill="1" applyBorder="1" applyAlignment="1">
      <alignment horizontal="right"/>
    </xf>
    <xf numFmtId="167" fontId="0" fillId="5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ohit Koovarjee" id="{784F5625-7203-4942-B0F7-51AD5006D6A6}" userId="S::rohitk@jse.co.za::12811e14-cf5f-445b-aa26-ad262d23d8fa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4" dT="2023-09-27T09:41:16.63" personId="{784F5625-7203-4942-B0F7-51AD5006D6A6}" id="{0A1B68A8-C15D-4D1C-94A0-99EBA1F8B91B}">
    <text>Although not 100% technically accurate, for simplicity we've assumed 0 initial margin cash flows for the repo on T+0 and T+1. The near and far legs are both unsettled on T+0 and T+1 and offset each other. From T+2 the near leg settles and the far leg remains unsettled. In reality, we do calculate an initial margin requirement even on T+0 and T+1 while both near and far legs are unsettled which does recognise the offset between the two legs.</text>
  </threadedComment>
  <threadedComment ref="H26" dT="2023-09-27T09:44:58.70" personId="{784F5625-7203-4942-B0F7-51AD5006D6A6}" id="{63421714-05CD-49D3-9C66-8E6BD1F252CA}">
    <text>Although not 100% technically accurate, for simplicity we've assumed 0 initial margin cash flows for the repo on T+0 and T+1. The near and far legs are both unsettled on T+0 and T+1 and offset each other. From T+2 the near leg settles and the far leg remains unsettled. In reality, we do calculate an initial margin requirement even on T+0 and T+1 while both near and far legs are unsettled which does recognise the offset between the two legs.</text>
  </threadedComment>
  <threadedComment ref="H33" dT="2023-10-04T09:11:28.18" personId="{784F5625-7203-4942-B0F7-51AD5006D6A6}" id="{0A4149A0-62A9-43C8-BC40-20CCB16E5146}">
    <text>Although not 100% technically accurate, for simplicity we've assumed 0 initial margin cash flows for the repo on T+0 and T+1. The near and far legs are both unsettled on T+0 and T+1 and offset each other. From T+2 the near leg settles and the far leg remains unsettled. In reality, we do calculate an initial margin requirement even on T+0 and T+1 while both near and far legs are unsettled which does recognise the offset between the two legs.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H14" dT="2023-09-27T09:47:00.24" personId="{784F5625-7203-4942-B0F7-51AD5006D6A6}" id="{C87B6960-487C-43E3-A084-358AD89DBAB4}">
    <text xml:space="preserve">Although not 100% technically accurate, for simplicity we've assumed 0 initial margin cash flows for the repo on T+0 and T+1. The near and far legs are both unsettled on T+0 and T+1 and offset each other. From T+2 the near leg settles and the far leg remains unsettled. In reality, we do calculate an initial margin requirement even on T+0 and T+1 while both near and far legs are unsettled which does recognise the offset between the two legs.
</text>
  </threadedComment>
  <threadedComment ref="H26" dT="2023-09-27T09:47:04.79" personId="{784F5625-7203-4942-B0F7-51AD5006D6A6}" id="{4FDF0910-B2D3-48D7-A0A3-03F4DBD2A64B}">
    <text xml:space="preserve">Although not 100% technically accurate, for simplicity we've assumed 0 initial margin cash flows for the repo on T+0 and T+1. The near and far legs are both unsettled on T+0 and T+1 and offset each other. From T+2 the near leg settles and the far leg remains unsettled. In reality, we do calculate an initial margin requirement even on T+0 and T+1 while both near and far legs are unsettled which does recognise the offset between the two legs.
</text>
  </threadedComment>
  <threadedComment ref="H33" dT="2023-10-04T09:20:14.55" personId="{784F5625-7203-4942-B0F7-51AD5006D6A6}" id="{08C41EDC-3C36-43BF-B4D3-ADEEA77EE8EB}">
    <text xml:space="preserve">Although not 100% technically accurate, for simplicity we've assumed 0 initial margin cash flows for the repo on T+0 and T+1. The near and far legs are both unsettled on T+0 and T+1 and offset each other. From T+2 the near leg settles and the far leg remains unsettled. In reality, we do calculate an initial margin requirement even on T+0 and T+1 while both near and far legs are unsettled which does recognise the offset between the two legs.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B14F8-17F5-4D92-9D6B-CF69E74329CE}">
  <dimension ref="B2:O35"/>
  <sheetViews>
    <sheetView tabSelected="1" zoomScaleNormal="100" workbookViewId="0">
      <selection activeCell="N35" sqref="N35"/>
    </sheetView>
  </sheetViews>
  <sheetFormatPr defaultColWidth="8.7265625" defaultRowHeight="14.5" x14ac:dyDescent="0.35"/>
  <cols>
    <col min="1" max="1" width="3.453125" style="1" customWidth="1"/>
    <col min="2" max="2" width="31" style="1" customWidth="1"/>
    <col min="3" max="3" width="11" style="16" bestFit="1" customWidth="1"/>
    <col min="4" max="4" width="4.453125" style="1" customWidth="1"/>
    <col min="5" max="5" width="28.54296875" style="1" customWidth="1"/>
    <col min="6" max="6" width="4.1796875" style="1" customWidth="1"/>
    <col min="7" max="7" width="7.453125" style="1" customWidth="1"/>
    <col min="8" max="8" width="10.1796875" style="1" customWidth="1"/>
    <col min="9" max="9" width="7.81640625" style="1" bestFit="1" customWidth="1"/>
    <col min="10" max="10" width="12.54296875" style="1" customWidth="1"/>
    <col min="11" max="13" width="9.1796875" style="1" customWidth="1"/>
    <col min="14" max="14" width="11.54296875" style="1" customWidth="1"/>
    <col min="15" max="19" width="95.1796875" style="1" customWidth="1"/>
    <col min="20" max="16384" width="8.7265625" style="1"/>
  </cols>
  <sheetData>
    <row r="2" spans="2:15" ht="18.5" x14ac:dyDescent="0.45">
      <c r="B2" s="47" t="s">
        <v>33</v>
      </c>
      <c r="C2" s="48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5" ht="29" x14ac:dyDescent="0.35">
      <c r="J3" s="55" t="s">
        <v>37</v>
      </c>
      <c r="N3" s="55" t="s">
        <v>38</v>
      </c>
    </row>
    <row r="4" spans="2:15" x14ac:dyDescent="0.35">
      <c r="G4" s="8" t="s">
        <v>12</v>
      </c>
      <c r="H4" s="25" t="s">
        <v>0</v>
      </c>
      <c r="I4" s="25" t="s">
        <v>1</v>
      </c>
      <c r="J4" s="25" t="s">
        <v>2</v>
      </c>
      <c r="K4" s="25" t="s">
        <v>3</v>
      </c>
      <c r="L4" s="25" t="s">
        <v>4</v>
      </c>
      <c r="M4" s="25" t="s">
        <v>5</v>
      </c>
      <c r="N4" s="25" t="s">
        <v>6</v>
      </c>
    </row>
    <row r="5" spans="2:15" x14ac:dyDescent="0.35">
      <c r="B5" s="1" t="s">
        <v>17</v>
      </c>
      <c r="C5" s="58">
        <v>10000</v>
      </c>
      <c r="H5" s="2" t="s">
        <v>26</v>
      </c>
      <c r="I5" s="2" t="s">
        <v>27</v>
      </c>
      <c r="J5" s="2" t="s">
        <v>28</v>
      </c>
      <c r="K5" s="2" t="s">
        <v>29</v>
      </c>
      <c r="L5" s="2" t="s">
        <v>30</v>
      </c>
      <c r="M5" s="2" t="s">
        <v>31</v>
      </c>
      <c r="N5" s="2" t="s">
        <v>32</v>
      </c>
    </row>
    <row r="6" spans="2:15" x14ac:dyDescent="0.35">
      <c r="B6" s="1" t="s">
        <v>11</v>
      </c>
      <c r="C6" s="16">
        <f>C5/C8</f>
        <v>100</v>
      </c>
      <c r="E6" s="14" t="s">
        <v>22</v>
      </c>
      <c r="G6" s="7">
        <v>100</v>
      </c>
      <c r="H6" s="15">
        <v>101</v>
      </c>
      <c r="I6" s="15">
        <v>103</v>
      </c>
      <c r="J6" s="15">
        <v>104</v>
      </c>
      <c r="K6" s="15">
        <v>101</v>
      </c>
      <c r="L6" s="15">
        <v>98</v>
      </c>
      <c r="M6" s="15">
        <v>99</v>
      </c>
      <c r="N6" s="15">
        <v>103</v>
      </c>
      <c r="O6" s="51"/>
    </row>
    <row r="7" spans="2:15" x14ac:dyDescent="0.35">
      <c r="B7" s="5" t="s">
        <v>14</v>
      </c>
    </row>
    <row r="8" spans="2:15" x14ac:dyDescent="0.35">
      <c r="B8" s="3" t="s">
        <v>13</v>
      </c>
      <c r="C8" s="59">
        <v>100</v>
      </c>
      <c r="E8" s="28" t="s">
        <v>8</v>
      </c>
      <c r="F8" s="29"/>
      <c r="G8" s="30"/>
      <c r="H8" s="29"/>
      <c r="I8" s="29"/>
      <c r="J8" s="29"/>
      <c r="K8" s="29"/>
      <c r="L8" s="29"/>
      <c r="M8" s="29"/>
      <c r="N8" s="29"/>
    </row>
    <row r="9" spans="2:15" x14ac:dyDescent="0.35">
      <c r="B9" s="4" t="s">
        <v>15</v>
      </c>
      <c r="C9" s="60">
        <f>ROUND(C8*(1+C13/365*$C$14),2)</f>
        <v>100.09</v>
      </c>
      <c r="E9" s="13" t="s">
        <v>18</v>
      </c>
      <c r="F9" s="9"/>
      <c r="G9" s="9"/>
      <c r="H9" s="9">
        <f>-1*$C$6</f>
        <v>-100</v>
      </c>
      <c r="I9" s="9">
        <f t="shared" ref="I9" si="0">-1*$C$6</f>
        <v>-100</v>
      </c>
      <c r="J9" s="9">
        <v>0</v>
      </c>
      <c r="K9" s="9">
        <v>0</v>
      </c>
      <c r="L9" s="9">
        <v>0</v>
      </c>
      <c r="M9" s="9">
        <v>0</v>
      </c>
      <c r="N9" s="9">
        <v>0</v>
      </c>
    </row>
    <row r="10" spans="2:15" x14ac:dyDescent="0.35">
      <c r="B10" s="5" t="s">
        <v>24</v>
      </c>
      <c r="E10" s="13" t="s">
        <v>19</v>
      </c>
      <c r="F10" s="9"/>
      <c r="G10" s="9"/>
      <c r="H10" s="9">
        <f t="shared" ref="H10:M10" si="1">$C$6</f>
        <v>100</v>
      </c>
      <c r="I10" s="9">
        <f t="shared" si="1"/>
        <v>100</v>
      </c>
      <c r="J10" s="9">
        <f t="shared" si="1"/>
        <v>100</v>
      </c>
      <c r="K10" s="9">
        <f t="shared" si="1"/>
        <v>100</v>
      </c>
      <c r="L10" s="9">
        <f t="shared" si="1"/>
        <v>100</v>
      </c>
      <c r="M10" s="9">
        <f t="shared" si="1"/>
        <v>100</v>
      </c>
      <c r="N10" s="9">
        <v>0</v>
      </c>
    </row>
    <row r="11" spans="2:15" x14ac:dyDescent="0.35">
      <c r="B11" s="3" t="s">
        <v>13</v>
      </c>
      <c r="C11" s="17" t="s">
        <v>25</v>
      </c>
      <c r="E11" s="13" t="s">
        <v>20</v>
      </c>
      <c r="F11" s="9"/>
      <c r="G11" s="10"/>
      <c r="H11" s="9">
        <f>SUM(H9:H10)</f>
        <v>0</v>
      </c>
      <c r="I11" s="9">
        <f t="shared" ref="I11:N11" si="2">SUM(I9:I10)</f>
        <v>0</v>
      </c>
      <c r="J11" s="9">
        <f t="shared" si="2"/>
        <v>100</v>
      </c>
      <c r="K11" s="9">
        <f t="shared" si="2"/>
        <v>100</v>
      </c>
      <c r="L11" s="9">
        <f t="shared" si="2"/>
        <v>100</v>
      </c>
      <c r="M11" s="9">
        <f t="shared" si="2"/>
        <v>100</v>
      </c>
      <c r="N11" s="9">
        <f t="shared" si="2"/>
        <v>0</v>
      </c>
    </row>
    <row r="12" spans="2:15" x14ac:dyDescent="0.35">
      <c r="B12" s="4" t="s">
        <v>15</v>
      </c>
      <c r="C12" s="18" t="s">
        <v>23</v>
      </c>
      <c r="E12" s="13" t="s">
        <v>39</v>
      </c>
      <c r="F12" s="9"/>
      <c r="G12" s="10"/>
      <c r="H12" s="11">
        <v>0</v>
      </c>
      <c r="I12" s="11">
        <v>0</v>
      </c>
      <c r="J12" s="12">
        <v>10000</v>
      </c>
      <c r="K12" s="12">
        <v>0</v>
      </c>
      <c r="L12" s="12">
        <v>0</v>
      </c>
      <c r="M12" s="12">
        <v>0</v>
      </c>
      <c r="N12" s="12">
        <f>-N13*C9</f>
        <v>-10009</v>
      </c>
    </row>
    <row r="13" spans="2:15" x14ac:dyDescent="0.35">
      <c r="B13" s="1" t="s">
        <v>16</v>
      </c>
      <c r="C13" s="19">
        <v>0.08</v>
      </c>
      <c r="E13" s="13" t="s">
        <v>40</v>
      </c>
      <c r="F13" s="9"/>
      <c r="G13" s="10"/>
      <c r="H13" s="9">
        <v>0</v>
      </c>
      <c r="I13" s="9">
        <v>0</v>
      </c>
      <c r="J13" s="9">
        <v>-100</v>
      </c>
      <c r="K13" s="9">
        <f t="shared" ref="K13:M13" si="3">K9*-1</f>
        <v>0</v>
      </c>
      <c r="L13" s="9">
        <f t="shared" si="3"/>
        <v>0</v>
      </c>
      <c r="M13" s="9">
        <f t="shared" si="3"/>
        <v>0</v>
      </c>
      <c r="N13" s="9">
        <v>100</v>
      </c>
    </row>
    <row r="14" spans="2:15" x14ac:dyDescent="0.35">
      <c r="B14" s="1" t="s">
        <v>35</v>
      </c>
      <c r="C14" s="16">
        <v>4</v>
      </c>
      <c r="E14" s="13" t="s">
        <v>7</v>
      </c>
      <c r="F14" s="9"/>
      <c r="G14" s="9"/>
      <c r="H14" s="53">
        <f>-$C$16*H11</f>
        <v>0</v>
      </c>
      <c r="I14" s="53">
        <f>-$C$16*I11</f>
        <v>0</v>
      </c>
      <c r="J14" s="12">
        <f>-$C$16*J11</f>
        <v>-200</v>
      </c>
      <c r="K14" s="12">
        <v>0</v>
      </c>
      <c r="L14" s="12">
        <v>0</v>
      </c>
      <c r="M14" s="12">
        <v>0</v>
      </c>
      <c r="N14" s="12">
        <f>$C$16*N13</f>
        <v>200</v>
      </c>
    </row>
    <row r="15" spans="2:15" ht="29" x14ac:dyDescent="0.35">
      <c r="B15" s="56" t="s">
        <v>36</v>
      </c>
      <c r="C15" s="57" t="s">
        <v>8</v>
      </c>
      <c r="E15" s="13" t="s">
        <v>41</v>
      </c>
      <c r="F15" s="9"/>
      <c r="G15" s="9"/>
      <c r="H15" s="12">
        <f t="shared" ref="H15:N15" si="4">($G$6-H6)*ABS(H9)</f>
        <v>-100</v>
      </c>
      <c r="I15" s="12">
        <f>($G$6-I6)*ABS(I9)</f>
        <v>-300</v>
      </c>
      <c r="J15" s="12">
        <f t="shared" si="4"/>
        <v>0</v>
      </c>
      <c r="K15" s="12">
        <f t="shared" si="4"/>
        <v>0</v>
      </c>
      <c r="L15" s="12">
        <f t="shared" si="4"/>
        <v>0</v>
      </c>
      <c r="M15" s="12">
        <f t="shared" si="4"/>
        <v>0</v>
      </c>
      <c r="N15" s="12">
        <f t="shared" si="4"/>
        <v>0</v>
      </c>
    </row>
    <row r="16" spans="2:15" x14ac:dyDescent="0.35">
      <c r="B16" s="1" t="s">
        <v>21</v>
      </c>
      <c r="C16" s="16">
        <v>2</v>
      </c>
      <c r="E16" s="13" t="s">
        <v>42</v>
      </c>
      <c r="F16" s="9"/>
      <c r="G16" s="10"/>
      <c r="H16" s="12">
        <f t="shared" ref="H16:N16" si="5">(H6-$G$6)*ABS(H10)</f>
        <v>100</v>
      </c>
      <c r="I16" s="12">
        <f t="shared" si="5"/>
        <v>300</v>
      </c>
      <c r="J16" s="12">
        <f>(J6-$G$6)*ABS(J10)</f>
        <v>400</v>
      </c>
      <c r="K16" s="12">
        <f>(K6-$G$6)*ABS(K10)</f>
        <v>100</v>
      </c>
      <c r="L16" s="12">
        <f>(L6-$G$6)*ABS(L10)</f>
        <v>-200</v>
      </c>
      <c r="M16" s="12">
        <f>(M6-$G$6)*ABS(M10)</f>
        <v>-100</v>
      </c>
      <c r="N16" s="12">
        <f t="shared" si="5"/>
        <v>0</v>
      </c>
    </row>
    <row r="17" spans="5:15" x14ac:dyDescent="0.35">
      <c r="E17" s="13" t="s">
        <v>43</v>
      </c>
      <c r="F17" s="9"/>
      <c r="G17" s="10"/>
      <c r="H17" s="12">
        <f>IF(SUM(H15,H16)&lt;0,SUM(H15,H16),0)</f>
        <v>0</v>
      </c>
      <c r="I17" s="12">
        <f>IF(SUM(I15,I16)&lt;0,SUM(I15,I16)-H17,0)</f>
        <v>0</v>
      </c>
      <c r="J17" s="12">
        <f>IF(SUM(J15,J16)&lt;0,SUM(J15,J16)-I17,0)</f>
        <v>0</v>
      </c>
      <c r="K17" s="12">
        <f>IF(SUM(K15,K16)&lt;0,SUM(K15,K16)-J17,0)</f>
        <v>0</v>
      </c>
      <c r="L17" s="12">
        <f>IF(SUM(L15,L16)&lt;0,SUM(L15,L16)-K17,0)</f>
        <v>-200</v>
      </c>
      <c r="M17" s="12">
        <f>IF(SUM(M15,M16)&lt;0,SUM(M15,M16)-L17,0)</f>
        <v>100</v>
      </c>
      <c r="N17" s="12">
        <f>SUM(H17:M17)*-1</f>
        <v>100</v>
      </c>
      <c r="O17" s="51"/>
    </row>
    <row r="18" spans="5:15" x14ac:dyDescent="0.35">
      <c r="E18" s="32" t="s">
        <v>44</v>
      </c>
      <c r="F18" s="33"/>
      <c r="G18" s="34"/>
      <c r="H18" s="35">
        <f>SUM(H12,H15,H16)</f>
        <v>0</v>
      </c>
      <c r="I18" s="35">
        <f>SUM(I12,I17)</f>
        <v>0</v>
      </c>
      <c r="J18" s="35">
        <f>SUM(J12,J14,J17)</f>
        <v>9800</v>
      </c>
      <c r="K18" s="35">
        <f>J18+SUM(K12,K14,K17)</f>
        <v>9800</v>
      </c>
      <c r="L18" s="35">
        <f>K18+SUM(L12,L14,L17)</f>
        <v>9600</v>
      </c>
      <c r="M18" s="35">
        <f>L18+SUM(M12,M14,M17)</f>
        <v>9700</v>
      </c>
      <c r="N18" s="49">
        <f>M18+SUM(N12,N14,N17)</f>
        <v>-9</v>
      </c>
      <c r="O18" s="52"/>
    </row>
    <row r="20" spans="5:15" x14ac:dyDescent="0.35">
      <c r="E20" s="31" t="s">
        <v>9</v>
      </c>
      <c r="F20" s="26"/>
      <c r="G20" s="27"/>
      <c r="H20" s="26"/>
      <c r="I20" s="26"/>
      <c r="J20" s="26"/>
      <c r="K20" s="26"/>
      <c r="L20" s="26"/>
      <c r="M20" s="26"/>
      <c r="N20" s="26"/>
    </row>
    <row r="21" spans="5:15" x14ac:dyDescent="0.35">
      <c r="E21" s="20" t="s">
        <v>18</v>
      </c>
      <c r="F21" s="21"/>
      <c r="G21" s="21"/>
      <c r="H21" s="21">
        <f>$C$6</f>
        <v>100</v>
      </c>
      <c r="I21" s="21">
        <f>$C$6</f>
        <v>100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</row>
    <row r="22" spans="5:15" x14ac:dyDescent="0.35">
      <c r="E22" s="20" t="s">
        <v>19</v>
      </c>
      <c r="F22" s="21"/>
      <c r="G22" s="21"/>
      <c r="H22" s="21">
        <f>-$C$6</f>
        <v>-100</v>
      </c>
      <c r="I22" s="21">
        <f t="shared" ref="I22:M22" si="6">-$C$6</f>
        <v>-100</v>
      </c>
      <c r="J22" s="21">
        <f t="shared" si="6"/>
        <v>-100</v>
      </c>
      <c r="K22" s="21">
        <f t="shared" si="6"/>
        <v>-100</v>
      </c>
      <c r="L22" s="21">
        <f t="shared" si="6"/>
        <v>-100</v>
      </c>
      <c r="M22" s="21">
        <f t="shared" si="6"/>
        <v>-100</v>
      </c>
      <c r="N22" s="21">
        <v>0</v>
      </c>
    </row>
    <row r="23" spans="5:15" x14ac:dyDescent="0.35">
      <c r="E23" s="20" t="s">
        <v>20</v>
      </c>
      <c r="F23" s="21"/>
      <c r="G23" s="22"/>
      <c r="H23" s="21">
        <f>SUM(H21:H22)</f>
        <v>0</v>
      </c>
      <c r="I23" s="21">
        <f t="shared" ref="I23:N23" si="7">SUM(I21:I22)</f>
        <v>0</v>
      </c>
      <c r="J23" s="21">
        <f t="shared" si="7"/>
        <v>-100</v>
      </c>
      <c r="K23" s="21">
        <f t="shared" si="7"/>
        <v>-100</v>
      </c>
      <c r="L23" s="21">
        <f t="shared" si="7"/>
        <v>-100</v>
      </c>
      <c r="M23" s="21">
        <f t="shared" si="7"/>
        <v>-100</v>
      </c>
      <c r="N23" s="21">
        <f t="shared" si="7"/>
        <v>0</v>
      </c>
    </row>
    <row r="24" spans="5:15" x14ac:dyDescent="0.35">
      <c r="E24" s="20" t="s">
        <v>39</v>
      </c>
      <c r="F24" s="21"/>
      <c r="G24" s="22"/>
      <c r="H24" s="23">
        <v>0</v>
      </c>
      <c r="I24" s="23">
        <v>0</v>
      </c>
      <c r="J24" s="24">
        <f>-C5</f>
        <v>-10000</v>
      </c>
      <c r="K24" s="24">
        <v>0</v>
      </c>
      <c r="L24" s="24">
        <v>0</v>
      </c>
      <c r="M24" s="24">
        <v>0</v>
      </c>
      <c r="N24" s="24">
        <f>-N25*C9</f>
        <v>10009</v>
      </c>
    </row>
    <row r="25" spans="5:15" x14ac:dyDescent="0.35">
      <c r="E25" s="20" t="s">
        <v>40</v>
      </c>
      <c r="F25" s="21"/>
      <c r="G25" s="22"/>
      <c r="H25" s="21">
        <v>0</v>
      </c>
      <c r="I25" s="21">
        <v>0</v>
      </c>
      <c r="J25" s="21">
        <v>100</v>
      </c>
      <c r="K25" s="21">
        <f t="shared" ref="K25:M25" si="8">K21*-1</f>
        <v>0</v>
      </c>
      <c r="L25" s="21">
        <f t="shared" si="8"/>
        <v>0</v>
      </c>
      <c r="M25" s="21">
        <f t="shared" si="8"/>
        <v>0</v>
      </c>
      <c r="N25" s="21">
        <v>-100</v>
      </c>
    </row>
    <row r="26" spans="5:15" x14ac:dyDescent="0.35">
      <c r="E26" s="20" t="s">
        <v>7</v>
      </c>
      <c r="F26" s="21"/>
      <c r="G26" s="21"/>
      <c r="H26" s="54">
        <f t="shared" ref="H26:I26" si="9">-$C$16*H23</f>
        <v>0</v>
      </c>
      <c r="I26" s="54">
        <f t="shared" si="9"/>
        <v>0</v>
      </c>
      <c r="J26" s="24">
        <f>$C$16*J23</f>
        <v>-200</v>
      </c>
      <c r="K26" s="24">
        <v>0</v>
      </c>
      <c r="L26" s="24">
        <v>0</v>
      </c>
      <c r="M26" s="24">
        <v>0</v>
      </c>
      <c r="N26" s="24">
        <f>-$C$16*N25</f>
        <v>200</v>
      </c>
    </row>
    <row r="27" spans="5:15" x14ac:dyDescent="0.35">
      <c r="E27" s="20" t="s">
        <v>41</v>
      </c>
      <c r="F27" s="21"/>
      <c r="G27" s="21"/>
      <c r="H27" s="24">
        <f t="shared" ref="H27:N27" si="10">(H6-$G$6)*H21</f>
        <v>100</v>
      </c>
      <c r="I27" s="24">
        <f t="shared" si="10"/>
        <v>300</v>
      </c>
      <c r="J27" s="24">
        <f t="shared" si="10"/>
        <v>0</v>
      </c>
      <c r="K27" s="24">
        <f t="shared" si="10"/>
        <v>0</v>
      </c>
      <c r="L27" s="24">
        <f t="shared" si="10"/>
        <v>0</v>
      </c>
      <c r="M27" s="24">
        <f t="shared" si="10"/>
        <v>0</v>
      </c>
      <c r="N27" s="24">
        <f t="shared" si="10"/>
        <v>0</v>
      </c>
    </row>
    <row r="28" spans="5:15" x14ac:dyDescent="0.35">
      <c r="E28" s="20" t="s">
        <v>42</v>
      </c>
      <c r="F28" s="21"/>
      <c r="G28" s="22"/>
      <c r="H28" s="24">
        <f t="shared" ref="H28:N28" si="11">(H6-$G$6)*H22</f>
        <v>-100</v>
      </c>
      <c r="I28" s="24">
        <f t="shared" si="11"/>
        <v>-300</v>
      </c>
      <c r="J28" s="24">
        <f t="shared" si="11"/>
        <v>-400</v>
      </c>
      <c r="K28" s="24">
        <f t="shared" si="11"/>
        <v>-100</v>
      </c>
      <c r="L28" s="24">
        <f t="shared" si="11"/>
        <v>200</v>
      </c>
      <c r="M28" s="24">
        <f t="shared" si="11"/>
        <v>100</v>
      </c>
      <c r="N28" s="24">
        <f t="shared" si="11"/>
        <v>0</v>
      </c>
    </row>
    <row r="29" spans="5:15" x14ac:dyDescent="0.35">
      <c r="E29" s="20" t="s">
        <v>43</v>
      </c>
      <c r="F29" s="21"/>
      <c r="G29" s="22"/>
      <c r="H29" s="24">
        <f t="shared" ref="H29:M29" si="12">IF(SUM(H27,H28)&lt;0,SUM(H27,H28),0)</f>
        <v>0</v>
      </c>
      <c r="I29" s="24">
        <f t="shared" si="12"/>
        <v>0</v>
      </c>
      <c r="J29" s="24">
        <f t="shared" si="12"/>
        <v>-400</v>
      </c>
      <c r="K29" s="24">
        <f t="shared" si="12"/>
        <v>-100</v>
      </c>
      <c r="L29" s="24">
        <f t="shared" si="12"/>
        <v>0</v>
      </c>
      <c r="M29" s="24">
        <f t="shared" si="12"/>
        <v>0</v>
      </c>
      <c r="N29" s="24">
        <f>-SUM(H29:M29)</f>
        <v>500</v>
      </c>
    </row>
    <row r="30" spans="5:15" x14ac:dyDescent="0.35">
      <c r="E30" s="36" t="s">
        <v>44</v>
      </c>
      <c r="F30" s="37"/>
      <c r="G30" s="38"/>
      <c r="H30" s="39">
        <f>SUM(H24,H27,H28)</f>
        <v>0</v>
      </c>
      <c r="I30" s="39">
        <f>SUM(I24,I29)</f>
        <v>0</v>
      </c>
      <c r="J30" s="39">
        <f>SUM(J24,J26,J29)</f>
        <v>-10600</v>
      </c>
      <c r="K30" s="39">
        <f>J30+SUM(K24,K26,K29)</f>
        <v>-10700</v>
      </c>
      <c r="L30" s="39">
        <f>K30+SUM(L24,L26,L29)</f>
        <v>-10700</v>
      </c>
      <c r="M30" s="39">
        <f>L30+SUM(M24,M26,M29)</f>
        <v>-10700</v>
      </c>
      <c r="N30" s="50">
        <f>M30+SUM(N24,N26,N29)</f>
        <v>9</v>
      </c>
      <c r="O30" s="52"/>
    </row>
    <row r="31" spans="5:15" x14ac:dyDescent="0.35">
      <c r="G31" s="2"/>
      <c r="H31" s="2"/>
      <c r="I31" s="2"/>
      <c r="J31" s="2"/>
      <c r="K31" s="2"/>
      <c r="L31" s="2"/>
      <c r="M31" s="2"/>
      <c r="N31" s="2"/>
    </row>
    <row r="32" spans="5:15" x14ac:dyDescent="0.35">
      <c r="E32" s="40" t="s">
        <v>10</v>
      </c>
      <c r="F32" s="41"/>
      <c r="G32" s="42"/>
      <c r="H32" s="42"/>
      <c r="I32" s="42"/>
      <c r="J32" s="42"/>
      <c r="K32" s="42"/>
      <c r="L32" s="42"/>
      <c r="M32" s="42"/>
      <c r="N32" s="42"/>
    </row>
    <row r="33" spans="5:14" x14ac:dyDescent="0.35">
      <c r="E33" s="43" t="s">
        <v>47</v>
      </c>
      <c r="F33" s="44"/>
      <c r="G33" s="45"/>
      <c r="H33" s="46">
        <f t="shared" ref="H33:N33" si="13">-SUM(H14,H26)</f>
        <v>0</v>
      </c>
      <c r="I33" s="46">
        <f t="shared" si="13"/>
        <v>0</v>
      </c>
      <c r="J33" s="46">
        <f t="shared" si="13"/>
        <v>400</v>
      </c>
      <c r="K33" s="46">
        <f t="shared" si="13"/>
        <v>0</v>
      </c>
      <c r="L33" s="46">
        <f t="shared" si="13"/>
        <v>0</v>
      </c>
      <c r="M33" s="46">
        <f t="shared" si="13"/>
        <v>0</v>
      </c>
      <c r="N33" s="46">
        <f t="shared" si="13"/>
        <v>-400</v>
      </c>
    </row>
    <row r="34" spans="5:14" x14ac:dyDescent="0.35">
      <c r="E34" s="43" t="s">
        <v>45</v>
      </c>
      <c r="F34" s="44"/>
      <c r="G34" s="45"/>
      <c r="H34" s="46">
        <f t="shared" ref="H34:N34" si="14">-(H17+H29)</f>
        <v>0</v>
      </c>
      <c r="I34" s="46">
        <f t="shared" si="14"/>
        <v>0</v>
      </c>
      <c r="J34" s="46">
        <f>-(J17+J29)</f>
        <v>400</v>
      </c>
      <c r="K34" s="46">
        <f t="shared" si="14"/>
        <v>100</v>
      </c>
      <c r="L34" s="46">
        <f t="shared" si="14"/>
        <v>200</v>
      </c>
      <c r="M34" s="46">
        <f t="shared" si="14"/>
        <v>-100</v>
      </c>
      <c r="N34" s="46">
        <f>-(N17+N29)</f>
        <v>-600</v>
      </c>
    </row>
    <row r="35" spans="5:14" x14ac:dyDescent="0.35">
      <c r="E35" s="43" t="s">
        <v>46</v>
      </c>
      <c r="F35" s="44"/>
      <c r="G35" s="45"/>
      <c r="H35" s="46">
        <f>SUM(H33:H34)</f>
        <v>0</v>
      </c>
      <c r="I35" s="46">
        <f>SUM(I33:I34)</f>
        <v>0</v>
      </c>
      <c r="J35" s="46">
        <f t="shared" ref="J35:N35" si="15">SUM(J33:J34)</f>
        <v>800</v>
      </c>
      <c r="K35" s="46">
        <f t="shared" si="15"/>
        <v>100</v>
      </c>
      <c r="L35" s="46">
        <f t="shared" si="15"/>
        <v>200</v>
      </c>
      <c r="M35" s="46">
        <f t="shared" si="15"/>
        <v>-100</v>
      </c>
      <c r="N35" s="46">
        <f t="shared" si="15"/>
        <v>-1000</v>
      </c>
    </row>
  </sheetData>
  <phoneticPr fontId="3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F4B6-19B5-4644-B1AD-9A609B5B86FA}">
  <dimension ref="B2:O35"/>
  <sheetViews>
    <sheetView topLeftCell="A4" zoomScale="90" zoomScaleNormal="90" workbookViewId="0">
      <selection activeCell="J16" sqref="J16"/>
    </sheetView>
  </sheetViews>
  <sheetFormatPr defaultColWidth="8.7265625" defaultRowHeight="14.5" x14ac:dyDescent="0.35"/>
  <cols>
    <col min="1" max="1" width="3.453125" style="1" customWidth="1"/>
    <col min="2" max="2" width="32.453125" style="1" customWidth="1"/>
    <col min="3" max="3" width="11" style="16" bestFit="1" customWidth="1"/>
    <col min="4" max="4" width="4.453125" style="1" customWidth="1"/>
    <col min="5" max="5" width="27.453125" style="1" customWidth="1"/>
    <col min="6" max="6" width="4.1796875" style="1" customWidth="1"/>
    <col min="7" max="7" width="7.453125" style="1" customWidth="1"/>
    <col min="8" max="8" width="8.54296875" style="1" bestFit="1" customWidth="1"/>
    <col min="9" max="9" width="7.81640625" style="1" bestFit="1" customWidth="1"/>
    <col min="10" max="10" width="10.1796875" style="1" customWidth="1"/>
    <col min="11" max="11" width="10.81640625" style="1" customWidth="1"/>
    <col min="12" max="13" width="8.54296875" style="1" bestFit="1" customWidth="1"/>
    <col min="14" max="14" width="10.26953125" style="1" customWidth="1"/>
    <col min="15" max="15" width="76" style="1" customWidth="1"/>
    <col min="16" max="16384" width="8.7265625" style="1"/>
  </cols>
  <sheetData>
    <row r="2" spans="2:15" ht="18.5" x14ac:dyDescent="0.45">
      <c r="B2" s="47" t="s">
        <v>34</v>
      </c>
      <c r="C2" s="48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5" ht="43.5" x14ac:dyDescent="0.35">
      <c r="J3" s="55" t="s">
        <v>37</v>
      </c>
      <c r="N3" s="55" t="s">
        <v>38</v>
      </c>
    </row>
    <row r="4" spans="2:15" x14ac:dyDescent="0.35">
      <c r="E4" s="61"/>
      <c r="G4" s="8" t="s">
        <v>12</v>
      </c>
      <c r="H4" s="25" t="s">
        <v>0</v>
      </c>
      <c r="I4" s="25" t="s">
        <v>1</v>
      </c>
      <c r="J4" s="25" t="s">
        <v>2</v>
      </c>
      <c r="K4" s="25" t="s">
        <v>3</v>
      </c>
      <c r="L4" s="25" t="s">
        <v>4</v>
      </c>
      <c r="M4" s="25" t="s">
        <v>5</v>
      </c>
      <c r="N4" s="25" t="s">
        <v>6</v>
      </c>
    </row>
    <row r="5" spans="2:15" x14ac:dyDescent="0.35">
      <c r="B5" s="1" t="s">
        <v>17</v>
      </c>
      <c r="C5" s="58">
        <v>10000</v>
      </c>
      <c r="H5" s="2" t="s">
        <v>26</v>
      </c>
      <c r="I5" s="2" t="s">
        <v>27</v>
      </c>
      <c r="J5" s="2" t="s">
        <v>28</v>
      </c>
      <c r="K5" s="2" t="s">
        <v>29</v>
      </c>
      <c r="L5" s="2" t="s">
        <v>30</v>
      </c>
      <c r="M5" s="2" t="s">
        <v>31</v>
      </c>
      <c r="N5" s="2" t="s">
        <v>32</v>
      </c>
    </row>
    <row r="6" spans="2:15" x14ac:dyDescent="0.35">
      <c r="B6" s="1" t="s">
        <v>11</v>
      </c>
      <c r="C6" s="16">
        <f>C5/C8</f>
        <v>100</v>
      </c>
      <c r="E6" s="14" t="s">
        <v>22</v>
      </c>
      <c r="G6" s="7">
        <v>100</v>
      </c>
      <c r="H6" s="15">
        <v>101</v>
      </c>
      <c r="I6" s="15">
        <v>103</v>
      </c>
      <c r="J6" s="15">
        <v>104</v>
      </c>
      <c r="K6" s="15">
        <v>101</v>
      </c>
      <c r="L6" s="15">
        <v>98</v>
      </c>
      <c r="M6" s="15">
        <v>99</v>
      </c>
      <c r="N6" s="15">
        <v>103</v>
      </c>
      <c r="O6" s="51"/>
    </row>
    <row r="7" spans="2:15" x14ac:dyDescent="0.35">
      <c r="B7" s="5" t="s">
        <v>14</v>
      </c>
    </row>
    <row r="8" spans="2:15" x14ac:dyDescent="0.35">
      <c r="B8" s="3" t="s">
        <v>13</v>
      </c>
      <c r="C8" s="59">
        <v>100</v>
      </c>
      <c r="E8" s="28" t="s">
        <v>8</v>
      </c>
      <c r="F8" s="29"/>
      <c r="G8" s="30"/>
      <c r="H8" s="29"/>
      <c r="I8" s="29"/>
      <c r="J8" s="29"/>
      <c r="K8" s="29"/>
      <c r="L8" s="29"/>
      <c r="M8" s="29"/>
      <c r="N8" s="29"/>
    </row>
    <row r="9" spans="2:15" x14ac:dyDescent="0.35">
      <c r="B9" s="4" t="s">
        <v>15</v>
      </c>
      <c r="C9" s="60">
        <f>ROUND(C8*(1+C13/365*$C$14),2)</f>
        <v>100.09</v>
      </c>
      <c r="E9" s="13" t="s">
        <v>18</v>
      </c>
      <c r="F9" s="9"/>
      <c r="G9" s="9"/>
      <c r="H9" s="9">
        <f>-1*$C$6</f>
        <v>-100</v>
      </c>
      <c r="I9" s="9">
        <f t="shared" ref="I9" si="0">-1*$C$6</f>
        <v>-100</v>
      </c>
      <c r="J9" s="9">
        <v>0</v>
      </c>
      <c r="K9" s="9">
        <v>0</v>
      </c>
      <c r="L9" s="9">
        <v>0</v>
      </c>
      <c r="M9" s="9">
        <v>0</v>
      </c>
      <c r="N9" s="9">
        <v>0</v>
      </c>
    </row>
    <row r="10" spans="2:15" x14ac:dyDescent="0.35">
      <c r="B10" s="5" t="s">
        <v>24</v>
      </c>
      <c r="E10" s="13" t="s">
        <v>19</v>
      </c>
      <c r="F10" s="9"/>
      <c r="G10" s="9"/>
      <c r="H10" s="9">
        <f t="shared" ref="H10:M10" si="1">$C$6</f>
        <v>100</v>
      </c>
      <c r="I10" s="9">
        <f t="shared" si="1"/>
        <v>100</v>
      </c>
      <c r="J10" s="9">
        <f t="shared" si="1"/>
        <v>100</v>
      </c>
      <c r="K10" s="9">
        <f t="shared" si="1"/>
        <v>100</v>
      </c>
      <c r="L10" s="9">
        <f t="shared" si="1"/>
        <v>100</v>
      </c>
      <c r="M10" s="9">
        <f t="shared" si="1"/>
        <v>100</v>
      </c>
      <c r="N10" s="9">
        <v>0</v>
      </c>
    </row>
    <row r="11" spans="2:15" x14ac:dyDescent="0.35">
      <c r="B11" s="3" t="s">
        <v>13</v>
      </c>
      <c r="C11" s="17" t="s">
        <v>25</v>
      </c>
      <c r="E11" s="13" t="s">
        <v>20</v>
      </c>
      <c r="F11" s="9"/>
      <c r="G11" s="10"/>
      <c r="H11" s="9">
        <f>SUM(H9:H10)</f>
        <v>0</v>
      </c>
      <c r="I11" s="9">
        <f t="shared" ref="I11:N11" si="2">SUM(I9:I10)</f>
        <v>0</v>
      </c>
      <c r="J11" s="9">
        <f t="shared" si="2"/>
        <v>100</v>
      </c>
      <c r="K11" s="9">
        <f t="shared" si="2"/>
        <v>100</v>
      </c>
      <c r="L11" s="9">
        <f t="shared" si="2"/>
        <v>100</v>
      </c>
      <c r="M11" s="9">
        <f t="shared" si="2"/>
        <v>100</v>
      </c>
      <c r="N11" s="9">
        <f t="shared" si="2"/>
        <v>0</v>
      </c>
    </row>
    <row r="12" spans="2:15" x14ac:dyDescent="0.35">
      <c r="B12" s="4" t="s">
        <v>15</v>
      </c>
      <c r="C12" s="18" t="s">
        <v>23</v>
      </c>
      <c r="E12" s="13" t="s">
        <v>39</v>
      </c>
      <c r="F12" s="9"/>
      <c r="G12" s="10"/>
      <c r="H12" s="11">
        <v>0</v>
      </c>
      <c r="I12" s="11">
        <v>0</v>
      </c>
      <c r="J12" s="12">
        <v>10000</v>
      </c>
      <c r="K12" s="12">
        <v>0</v>
      </c>
      <c r="L12" s="12">
        <v>0</v>
      </c>
      <c r="M12" s="12">
        <v>0</v>
      </c>
      <c r="N12" s="12">
        <f>-N13*C9</f>
        <v>-10009</v>
      </c>
    </row>
    <row r="13" spans="2:15" x14ac:dyDescent="0.35">
      <c r="B13" s="1" t="s">
        <v>16</v>
      </c>
      <c r="C13" s="19">
        <v>0.08</v>
      </c>
      <c r="E13" s="13" t="s">
        <v>40</v>
      </c>
      <c r="F13" s="9"/>
      <c r="G13" s="10"/>
      <c r="H13" s="9">
        <v>0</v>
      </c>
      <c r="I13" s="9">
        <v>0</v>
      </c>
      <c r="J13" s="9">
        <v>-100</v>
      </c>
      <c r="K13" s="9">
        <f t="shared" ref="K13:M13" si="3">K9*-1</f>
        <v>0</v>
      </c>
      <c r="L13" s="9">
        <f t="shared" si="3"/>
        <v>0</v>
      </c>
      <c r="M13" s="9">
        <f t="shared" si="3"/>
        <v>0</v>
      </c>
      <c r="N13" s="9">
        <v>100</v>
      </c>
    </row>
    <row r="14" spans="2:15" x14ac:dyDescent="0.35">
      <c r="B14" s="1" t="s">
        <v>35</v>
      </c>
      <c r="C14" s="16">
        <v>4</v>
      </c>
      <c r="E14" s="13" t="s">
        <v>7</v>
      </c>
      <c r="F14" s="9"/>
      <c r="G14" s="9"/>
      <c r="H14" s="53">
        <f t="shared" ref="H14:J14" si="4">-$C$16*H11</f>
        <v>0</v>
      </c>
      <c r="I14" s="53">
        <f t="shared" si="4"/>
        <v>0</v>
      </c>
      <c r="J14" s="12">
        <f>-$C$16*J11</f>
        <v>-200</v>
      </c>
      <c r="K14" s="12">
        <v>0</v>
      </c>
      <c r="L14" s="12">
        <v>0</v>
      </c>
      <c r="M14" s="12">
        <v>0</v>
      </c>
      <c r="N14" s="12">
        <f>$C$16*N13</f>
        <v>200</v>
      </c>
    </row>
    <row r="15" spans="2:15" ht="29" x14ac:dyDescent="0.35">
      <c r="B15" s="56" t="s">
        <v>36</v>
      </c>
      <c r="C15" s="57" t="s">
        <v>8</v>
      </c>
      <c r="E15" s="13" t="s">
        <v>48</v>
      </c>
      <c r="F15" s="9"/>
      <c r="G15" s="9"/>
      <c r="H15" s="12">
        <f>(G6-H6)*ABS(H9)</f>
        <v>-100</v>
      </c>
      <c r="I15" s="12">
        <f>(H6-I6)*ABS(I9)</f>
        <v>-200</v>
      </c>
      <c r="J15" s="12">
        <f t="shared" ref="J15:N15" si="5">(I6-J6)*ABS(J9)</f>
        <v>0</v>
      </c>
      <c r="K15" s="12">
        <f>(J6-K6)*ABS(K9)</f>
        <v>0</v>
      </c>
      <c r="L15" s="12">
        <f t="shared" si="5"/>
        <v>0</v>
      </c>
      <c r="M15" s="12">
        <f t="shared" si="5"/>
        <v>0</v>
      </c>
      <c r="N15" s="12">
        <f t="shared" si="5"/>
        <v>0</v>
      </c>
    </row>
    <row r="16" spans="2:15" x14ac:dyDescent="0.35">
      <c r="B16" s="1" t="s">
        <v>21</v>
      </c>
      <c r="C16" s="16">
        <v>2</v>
      </c>
      <c r="E16" s="13" t="s">
        <v>49</v>
      </c>
      <c r="F16" s="9"/>
      <c r="G16" s="10"/>
      <c r="H16" s="12">
        <f>(H6-G6)*ABS(H10)</f>
        <v>100</v>
      </c>
      <c r="I16" s="12">
        <f>(I6-H6)*ABS(I10)</f>
        <v>200</v>
      </c>
      <c r="J16" s="12">
        <f>(J6-I6)*ABS(J10)</f>
        <v>100</v>
      </c>
      <c r="K16" s="12">
        <f>(K6-J6)*ABS(K10)</f>
        <v>-300</v>
      </c>
      <c r="L16" s="12">
        <f>(L6-K6)*ABS(L10)</f>
        <v>-300</v>
      </c>
      <c r="M16" s="12">
        <f>(M6-L6)*ABS(M10)</f>
        <v>100</v>
      </c>
      <c r="N16" s="12">
        <f>(N6-M6)*ABS(N10)</f>
        <v>0</v>
      </c>
    </row>
    <row r="17" spans="5:15" x14ac:dyDescent="0.35">
      <c r="E17" s="13" t="s">
        <v>50</v>
      </c>
      <c r="F17" s="9"/>
      <c r="G17" s="10"/>
      <c r="H17" s="12">
        <f t="shared" ref="H17:N17" si="6">SUM(H15:H16)</f>
        <v>0</v>
      </c>
      <c r="I17" s="12">
        <f t="shared" si="6"/>
        <v>0</v>
      </c>
      <c r="J17" s="12">
        <f>SUM(J15:J16)</f>
        <v>100</v>
      </c>
      <c r="K17" s="12">
        <f>SUM(K15:K16)</f>
        <v>-300</v>
      </c>
      <c r="L17" s="12">
        <f t="shared" si="6"/>
        <v>-300</v>
      </c>
      <c r="M17" s="12">
        <f t="shared" si="6"/>
        <v>100</v>
      </c>
      <c r="N17" s="12">
        <f t="shared" si="6"/>
        <v>0</v>
      </c>
    </row>
    <row r="18" spans="5:15" x14ac:dyDescent="0.35">
      <c r="E18" s="32" t="s">
        <v>44</v>
      </c>
      <c r="F18" s="33"/>
      <c r="G18" s="34"/>
      <c r="H18" s="35">
        <f>SUM(H12,H15,H16)</f>
        <v>0</v>
      </c>
      <c r="I18" s="35">
        <f>SUM(I12,I17)</f>
        <v>0</v>
      </c>
      <c r="J18" s="35">
        <f>SUM(J12,J14,J17)</f>
        <v>9900</v>
      </c>
      <c r="K18" s="35">
        <f>J18+SUM(K12,K14,K17)</f>
        <v>9600</v>
      </c>
      <c r="L18" s="35">
        <f>K18+SUM(L12,L14,L17)</f>
        <v>9300</v>
      </c>
      <c r="M18" s="35">
        <f>L18+SUM(M12,M14,M17)</f>
        <v>9400</v>
      </c>
      <c r="N18" s="49">
        <f>M18+SUM(N12,N14,N17)</f>
        <v>-409</v>
      </c>
      <c r="O18" s="52"/>
    </row>
    <row r="20" spans="5:15" x14ac:dyDescent="0.35">
      <c r="E20" s="31" t="s">
        <v>9</v>
      </c>
      <c r="F20" s="26"/>
      <c r="G20" s="27"/>
      <c r="H20" s="26"/>
      <c r="I20" s="26"/>
      <c r="J20" s="26"/>
      <c r="K20" s="26"/>
      <c r="L20" s="26"/>
      <c r="M20" s="26"/>
      <c r="N20" s="26"/>
    </row>
    <row r="21" spans="5:15" x14ac:dyDescent="0.35">
      <c r="E21" s="20" t="s">
        <v>18</v>
      </c>
      <c r="F21" s="21"/>
      <c r="G21" s="21"/>
      <c r="H21" s="21">
        <f>$C$6</f>
        <v>100</v>
      </c>
      <c r="I21" s="21">
        <f>$C$6</f>
        <v>100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</row>
    <row r="22" spans="5:15" x14ac:dyDescent="0.35">
      <c r="E22" s="20" t="s">
        <v>19</v>
      </c>
      <c r="F22" s="21"/>
      <c r="G22" s="21"/>
      <c r="H22" s="21">
        <f>-$C$6</f>
        <v>-100</v>
      </c>
      <c r="I22" s="21">
        <f t="shared" ref="I22:M22" si="7">-$C$6</f>
        <v>-100</v>
      </c>
      <c r="J22" s="21">
        <f t="shared" si="7"/>
        <v>-100</v>
      </c>
      <c r="K22" s="21">
        <f t="shared" si="7"/>
        <v>-100</v>
      </c>
      <c r="L22" s="21">
        <f t="shared" si="7"/>
        <v>-100</v>
      </c>
      <c r="M22" s="21">
        <f t="shared" si="7"/>
        <v>-100</v>
      </c>
      <c r="N22" s="21">
        <v>0</v>
      </c>
    </row>
    <row r="23" spans="5:15" x14ac:dyDescent="0.35">
      <c r="E23" s="20" t="s">
        <v>20</v>
      </c>
      <c r="F23" s="21"/>
      <c r="G23" s="22"/>
      <c r="H23" s="21">
        <f>SUM(H21:H22)</f>
        <v>0</v>
      </c>
      <c r="I23" s="21">
        <f t="shared" ref="I23:N23" si="8">SUM(I21:I22)</f>
        <v>0</v>
      </c>
      <c r="J23" s="21">
        <f t="shared" si="8"/>
        <v>-100</v>
      </c>
      <c r="K23" s="21">
        <f t="shared" si="8"/>
        <v>-100</v>
      </c>
      <c r="L23" s="21">
        <f t="shared" si="8"/>
        <v>-100</v>
      </c>
      <c r="M23" s="21">
        <f t="shared" si="8"/>
        <v>-100</v>
      </c>
      <c r="N23" s="21">
        <f t="shared" si="8"/>
        <v>0</v>
      </c>
    </row>
    <row r="24" spans="5:15" x14ac:dyDescent="0.35">
      <c r="E24" s="20" t="s">
        <v>39</v>
      </c>
      <c r="F24" s="21"/>
      <c r="G24" s="22"/>
      <c r="H24" s="23">
        <v>0</v>
      </c>
      <c r="I24" s="23">
        <v>0</v>
      </c>
      <c r="J24" s="24">
        <f>-C5</f>
        <v>-10000</v>
      </c>
      <c r="K24" s="24">
        <v>0</v>
      </c>
      <c r="L24" s="24">
        <v>0</v>
      </c>
      <c r="M24" s="24">
        <v>0</v>
      </c>
      <c r="N24" s="24">
        <f>-N25*C9</f>
        <v>10009</v>
      </c>
    </row>
    <row r="25" spans="5:15" x14ac:dyDescent="0.35">
      <c r="E25" s="20" t="s">
        <v>40</v>
      </c>
      <c r="F25" s="21"/>
      <c r="G25" s="22"/>
      <c r="H25" s="21">
        <v>0</v>
      </c>
      <c r="I25" s="21">
        <v>0</v>
      </c>
      <c r="J25" s="21">
        <v>100</v>
      </c>
      <c r="K25" s="21">
        <f t="shared" ref="K25:M25" si="9">K21*-1</f>
        <v>0</v>
      </c>
      <c r="L25" s="21">
        <f t="shared" si="9"/>
        <v>0</v>
      </c>
      <c r="M25" s="21">
        <f t="shared" si="9"/>
        <v>0</v>
      </c>
      <c r="N25" s="21">
        <v>-100</v>
      </c>
    </row>
    <row r="26" spans="5:15" x14ac:dyDescent="0.35">
      <c r="E26" s="20" t="s">
        <v>7</v>
      </c>
      <c r="F26" s="21"/>
      <c r="G26" s="21"/>
      <c r="H26" s="54">
        <f t="shared" ref="H26:I26" si="10">-$C$16*H23</f>
        <v>0</v>
      </c>
      <c r="I26" s="54">
        <f t="shared" si="10"/>
        <v>0</v>
      </c>
      <c r="J26" s="24">
        <f>$C$16*J23</f>
        <v>-200</v>
      </c>
      <c r="K26" s="24">
        <v>0</v>
      </c>
      <c r="L26" s="24">
        <v>0</v>
      </c>
      <c r="M26" s="24">
        <v>0</v>
      </c>
      <c r="N26" s="24">
        <f>-$C$16*N25</f>
        <v>200</v>
      </c>
    </row>
    <row r="27" spans="5:15" x14ac:dyDescent="0.35">
      <c r="E27" s="20" t="s">
        <v>48</v>
      </c>
      <c r="F27" s="21"/>
      <c r="G27" s="21"/>
      <c r="H27" s="24">
        <f t="shared" ref="H27:N27" si="11">(H6-G6)*H21</f>
        <v>100</v>
      </c>
      <c r="I27" s="24">
        <f t="shared" si="11"/>
        <v>200</v>
      </c>
      <c r="J27" s="24">
        <f t="shared" si="11"/>
        <v>0</v>
      </c>
      <c r="K27" s="24">
        <f t="shared" si="11"/>
        <v>0</v>
      </c>
      <c r="L27" s="24">
        <f t="shared" si="11"/>
        <v>0</v>
      </c>
      <c r="M27" s="24">
        <f t="shared" si="11"/>
        <v>0</v>
      </c>
      <c r="N27" s="24">
        <f t="shared" si="11"/>
        <v>0</v>
      </c>
    </row>
    <row r="28" spans="5:15" x14ac:dyDescent="0.35">
      <c r="E28" s="20" t="s">
        <v>49</v>
      </c>
      <c r="F28" s="21"/>
      <c r="G28" s="22"/>
      <c r="H28" s="24">
        <f t="shared" ref="H28:N28" si="12">(H6-G6)*H22</f>
        <v>-100</v>
      </c>
      <c r="I28" s="24">
        <f t="shared" si="12"/>
        <v>-200</v>
      </c>
      <c r="J28" s="24">
        <f t="shared" si="12"/>
        <v>-100</v>
      </c>
      <c r="K28" s="24">
        <f t="shared" si="12"/>
        <v>300</v>
      </c>
      <c r="L28" s="24">
        <f t="shared" si="12"/>
        <v>300</v>
      </c>
      <c r="M28" s="24">
        <f t="shared" si="12"/>
        <v>-100</v>
      </c>
      <c r="N28" s="24">
        <f t="shared" si="12"/>
        <v>0</v>
      </c>
    </row>
    <row r="29" spans="5:15" x14ac:dyDescent="0.35">
      <c r="E29" s="20" t="s">
        <v>50</v>
      </c>
      <c r="F29" s="21"/>
      <c r="G29" s="22"/>
      <c r="H29" s="24">
        <f t="shared" ref="H29:N29" si="13">SUM(H27:H28)</f>
        <v>0</v>
      </c>
      <c r="I29" s="24">
        <f t="shared" si="13"/>
        <v>0</v>
      </c>
      <c r="J29" s="24">
        <f t="shared" si="13"/>
        <v>-100</v>
      </c>
      <c r="K29" s="24">
        <f t="shared" si="13"/>
        <v>300</v>
      </c>
      <c r="L29" s="24">
        <f t="shared" si="13"/>
        <v>300</v>
      </c>
      <c r="M29" s="24">
        <f t="shared" si="13"/>
        <v>-100</v>
      </c>
      <c r="N29" s="24">
        <f t="shared" si="13"/>
        <v>0</v>
      </c>
    </row>
    <row r="30" spans="5:15" x14ac:dyDescent="0.35">
      <c r="E30" s="36" t="s">
        <v>44</v>
      </c>
      <c r="F30" s="37"/>
      <c r="G30" s="38"/>
      <c r="H30" s="39">
        <f>SUM(H24,H27,H28)</f>
        <v>0</v>
      </c>
      <c r="I30" s="39">
        <f>SUM(I24,I29)</f>
        <v>0</v>
      </c>
      <c r="J30" s="39">
        <f>SUM(J24,J26,J29)</f>
        <v>-10300</v>
      </c>
      <c r="K30" s="39">
        <f>J30+SUM(K24,K26,K29)</f>
        <v>-10000</v>
      </c>
      <c r="L30" s="39">
        <f>K30+SUM(L24,L26,L29)</f>
        <v>-9700</v>
      </c>
      <c r="M30" s="39">
        <f>L30+SUM(M24,M26,M29)</f>
        <v>-9800</v>
      </c>
      <c r="N30" s="50">
        <f>M30+SUM(N24,N26,N29)</f>
        <v>409</v>
      </c>
      <c r="O30" s="52"/>
    </row>
    <row r="31" spans="5:15" x14ac:dyDescent="0.35">
      <c r="G31" s="2"/>
      <c r="H31" s="2"/>
      <c r="I31" s="2"/>
      <c r="J31" s="2"/>
      <c r="K31" s="2"/>
      <c r="L31" s="2"/>
      <c r="M31" s="2"/>
      <c r="N31" s="2"/>
    </row>
    <row r="32" spans="5:15" x14ac:dyDescent="0.35">
      <c r="E32" s="40" t="s">
        <v>10</v>
      </c>
      <c r="F32" s="41"/>
      <c r="G32" s="42"/>
      <c r="H32" s="42"/>
      <c r="I32" s="42"/>
      <c r="J32" s="42"/>
      <c r="K32" s="42"/>
      <c r="L32" s="42"/>
      <c r="M32" s="42"/>
      <c r="N32" s="42"/>
    </row>
    <row r="33" spans="5:14" x14ac:dyDescent="0.35">
      <c r="E33" s="43" t="s">
        <v>47</v>
      </c>
      <c r="F33" s="44"/>
      <c r="G33" s="45"/>
      <c r="H33" s="46">
        <f t="shared" ref="H33:N33" si="14">-SUM(H14,H26)</f>
        <v>0</v>
      </c>
      <c r="I33" s="46">
        <f t="shared" si="14"/>
        <v>0</v>
      </c>
      <c r="J33" s="46">
        <f>-SUM(J14,J26)</f>
        <v>400</v>
      </c>
      <c r="K33" s="46">
        <f t="shared" si="14"/>
        <v>0</v>
      </c>
      <c r="L33" s="46">
        <f t="shared" si="14"/>
        <v>0</v>
      </c>
      <c r="M33" s="46">
        <f t="shared" si="14"/>
        <v>0</v>
      </c>
      <c r="N33" s="46">
        <f t="shared" si="14"/>
        <v>-400</v>
      </c>
    </row>
    <row r="34" spans="5:14" x14ac:dyDescent="0.35">
      <c r="E34" s="43" t="s">
        <v>51</v>
      </c>
      <c r="F34" s="44"/>
      <c r="G34" s="45"/>
      <c r="H34" s="46">
        <f t="shared" ref="H34:N34" si="15">-(H17+H29)</f>
        <v>0</v>
      </c>
      <c r="I34" s="46">
        <f t="shared" si="15"/>
        <v>0</v>
      </c>
      <c r="J34" s="46">
        <f>-(J17+J29)</f>
        <v>0</v>
      </c>
      <c r="K34" s="46">
        <f t="shared" si="15"/>
        <v>0</v>
      </c>
      <c r="L34" s="46">
        <f t="shared" si="15"/>
        <v>0</v>
      </c>
      <c r="M34" s="46">
        <f t="shared" si="15"/>
        <v>0</v>
      </c>
      <c r="N34" s="46">
        <f t="shared" si="15"/>
        <v>0</v>
      </c>
    </row>
    <row r="35" spans="5:14" x14ac:dyDescent="0.35">
      <c r="E35" s="43" t="s">
        <v>46</v>
      </c>
      <c r="F35" s="44"/>
      <c r="G35" s="45"/>
      <c r="H35" s="46">
        <f>SUM(H33:H34)</f>
        <v>0</v>
      </c>
      <c r="I35" s="46">
        <f t="shared" ref="I35:N35" si="16">SUM(I33:I34)</f>
        <v>0</v>
      </c>
      <c r="J35" s="46">
        <f t="shared" si="16"/>
        <v>400</v>
      </c>
      <c r="K35" s="46">
        <f t="shared" si="16"/>
        <v>0</v>
      </c>
      <c r="L35" s="46">
        <f t="shared" si="16"/>
        <v>0</v>
      </c>
      <c r="M35" s="46">
        <f t="shared" si="16"/>
        <v>0</v>
      </c>
      <c r="N35" s="46">
        <f t="shared" si="16"/>
        <v>-400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45FF0CFA324D40AF347C1EB4C92A29" ma:contentTypeVersion="1" ma:contentTypeDescription="Create a new document." ma:contentTypeScope="" ma:versionID="76579806fa3579158a81004edf0d2605">
  <xsd:schema xmlns:xsd="http://www.w3.org/2001/XMLSchema" xmlns:xs="http://www.w3.org/2001/XMLSchema" xmlns:p="http://schemas.microsoft.com/office/2006/metadata/properties" xmlns:ns2="7710087d-bdac-41cf-a089-51f280e551be" targetNamespace="http://schemas.microsoft.com/office/2006/metadata/properties" ma:root="true" ma:fieldsID="596816422545205fa85d2f92f7e229ee" ns2:_="">
    <xsd:import namespace="7710087d-bdac-41cf-a089-51f280e551b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0087d-bdac-41cf-a089-51f280e551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C18FE7-880C-449A-885B-D74821BEBC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4D00FB-2240-4821-BE37-ABE23263C497}"/>
</file>

<file path=customXml/itemProps3.xml><?xml version="1.0" encoding="utf-8"?>
<ds:datastoreItem xmlns:ds="http://schemas.openxmlformats.org/officeDocument/2006/customXml" ds:itemID="{0E5FE820-CFD3-4161-8C76-81FC84DC7FC5}">
  <ds:schemaRefs>
    <ds:schemaRef ds:uri="http://purl.org/dc/elements/1.1/"/>
    <ds:schemaRef ds:uri="4d68b81e-864b-4aa4-b362-e50e314a31c6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1a587e0-0255-4d72-9822-86e14dd92cff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Option A - contingent VM</vt:lpstr>
      <vt:lpstr>Option B - realised VM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Nitesh Kumar</dc:creator>
  <cp:lastModifiedBy>Lamukanyani Mantshimuli</cp:lastModifiedBy>
  <dcterms:created xsi:type="dcterms:W3CDTF">2023-08-14T09:11:40Z</dcterms:created>
  <dcterms:modified xsi:type="dcterms:W3CDTF">2024-05-23T07:24:53Z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2023-08-14T19:23:06Z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01151d8a-4ffb-476b-928e-5f8e516c0fb5</vt:lpwstr>
  </property>
  <property fmtid="{D5CDD505-2E9C-101B-9397-08002B2CF9AE}" pid="8" name="MSIP_Label_ce93fc94-2a04-4870-acee-9c0cd4b7d590_ContentBits">
    <vt:lpwstr>0</vt:lpwstr>
  </property>
  <property fmtid="{D5CDD505-2E9C-101B-9397-08002B2CF9AE}" pid="9" name="ContentTypeId">
    <vt:lpwstr>0x0101001445FF0CFA324D40AF347C1EB4C92A29</vt:lpwstr>
  </property>
  <property fmtid="{D5CDD505-2E9C-101B-9397-08002B2CF9AE}" pid="10" name="MediaServiceImageTags">
    <vt:lpwstr/>
  </property>
</Properties>
</file>